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0632CD22-55B5-43BD-83C3-D1EA3D71D3CA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G47" i="5" l="1"/>
  <c r="E14" i="6" s="1"/>
  <c r="I44" i="5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<sst xmlns="http://schemas.openxmlformats.org/spreadsheetml/2006/main" count="282" uniqueCount="197">
  <si>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</si>
  <si>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</si>
  <si>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</si>
  <si>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</si>
  <si>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</si>
  <si>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</si>
  <si>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</si>
  <si>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</si>
  <si>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</si>
  <si>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</si>
  <si>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</si>
  <si>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</si>
  <si>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</si>
  <si>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</si>
  <si>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</si>
  <si>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</si>
  <si>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</si>
  <si>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</si>
  <si>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</si>
  <si>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</si>
  <si>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</si>
  <si>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</si>
  <si>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</si>
  <si>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</si>
  <si>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</si>
  <si>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</si>
  <si>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</si>
  <si>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</si>
  <si>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</si>
  <si>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</si>
  <si>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</si>
  <si>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</si>
  <si>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</si>
  <si>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</si>
  <si>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</si>
  <si>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</si>
  <si>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</si>
  <si>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</si>
  <si>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</si>
  <si>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</si>
  <si>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</si>
  <si>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</si>
  <si>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</si>
  <si>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</si>
  <si>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</si>
  <si>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</si>
  <si>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</si>
  <si>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</si>
  <si>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</si>
  <si>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</si>
  <si>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</si>
  <si>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</si>
  <si>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</si>
  <si>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</si>
  <si>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</si>
  <si>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</si>
  <si>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</si>
  <si>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</si>
  <si>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</si>
  <si>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</si>
  <si>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</si>
  <si>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</si>
  <si>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</si>
  <si>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</si>
  <si>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</si>
  <si>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</si>
  <si>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</si>
  <si>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</si>
  <si>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</si>
  <si>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</si>
  <si>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</si>
  <si>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</si>
  <si>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</si>
  <si>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</si>
  <si>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</si>
  <si>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</si>
  <si>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</si>
  <si>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</si>
  <si>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</si>
  <si>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</si>
  <si>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</si>
  <si>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</si>
  <si>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</si>
  <si>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</si>
  <si>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</si>
  <si>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</si>
  <si>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</si>
  <si>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</si>
  <si>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</si>
  <si>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</si>
  <si>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</si>
  <si>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</si>
  <si>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</si>
  <si>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</si>
  <si>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</si>
  <si>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</si>
  <si>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</si>
  <si>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</si>
  <si>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</si>
  <si>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</si>
  <si>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</si>
  <si>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</si>
  <si>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</si>
  <si>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</si>
  <si>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</si>
  <si>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</si>
  <si>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</si>
  <si>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</si>
  <si>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</si>
  <si>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</si>
  <si>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</si>
  <si>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</si>
  <si>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</si>
  <si>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</si>
  <si>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</si>
  <si>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</si>
  <si>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</si>
  <si>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</si>
  <si>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</si>
  <si>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</si>
  <si>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</si>
  <si>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</si>
  <si>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</si>
  <si>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</si>
  <si>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</si>
  <si>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</si>
  <si>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</si>
  <si>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</si>
  <si>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</si>
  <si>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</si>
  <si>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</si>
  <si>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</si>
  <si>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</si>
  <si>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</si>
  <si>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</si>
  <si>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</si>
  <si>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</si>
  <si>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</si>
  <si>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</si>
  <si>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</si>
  <si>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</si>
  <si>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</si>
  <si>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</si>
  <si>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</si>
  <si>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</si>
  <si>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</si>
  <si>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</si>
  <si>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</si>
  <si>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</si>
  <si>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</si>
  <si>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</si>
  <si>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</si>
  <si>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</si>
  <si>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</si>
  <si>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</si>
  <si>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</si>
  <si>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</si>
  <si>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</si>
  <si>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</si>
  <si>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</si>
  <si>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</si>
  <si>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</si>
  <si>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</si>
  <si>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</si>
  <si>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</si>
  <si>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</si>
  <si>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</si>
  <si>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</si>
  <si>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</si>
  <si>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</si>
  <si>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</si>
  <si>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</si>
  <si>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</si>
  <si>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</si>
  <si>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</si>
  <si>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</si>
  <si>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</si>
  <si>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</si>
  <si>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</si>
  <si>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</si>
  <si>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</si>
  <si>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</si>
  <si>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</si>
  <si>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</si>
  <si>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</si>
  <si>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</si>
  <si>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</si>
  <si>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</si>
  <si>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</si>
  <si>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</si>
  <si>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</si>
  <si>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Poing</t>
  </si>
  <si>
    <t>Stand: 15.02.2023</t>
  </si>
  <si>
    <t>Die Gemeinde Poing setzt sich folgende Ziele:</t>
  </si>
  <si>
    <t>Angelbrechting</t>
  </si>
  <si>
    <t>Grub</t>
  </si>
  <si>
    <t>Poing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</si>
</sst>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91900.29</c:v>
                </c:pt>
                <c:pt idx="1">
                  <c:v>87504.349524854217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100158</c:v>
                </c:pt>
                <c:pt idx="1">
                  <c:v>134235.33270666195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4236.7</c:v>
                </c:pt>
                <c:pt idx="1">
                  <c:v>4885.600240369934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49475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138347</c:v>
                </c:pt>
                <c:pt idx="1">
                  <c:v>226625.28247188611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187822</c:v>
                </c:pt>
                <c:pt idx="1">
                  <c:v>226625.28247188611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17358.23</c:v>
                </c:pt>
                <c:pt idx="1">
                  <c:v>14902.04186046764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43290.210000000006</c:v>
                </c:pt>
                <c:pt idx="1">
                  <c:v>48558.932319564767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1018.86</c:v>
                </c:pt>
                <c:pt idx="1">
                  <c:v>697.45572125725641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31203.447204968943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8607</c:v>
                </c:pt>
                <c:pt idx="1">
                  <c:v>8607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54667.83</c:v>
                </c:pt>
                <c:pt idx="1">
                  <c:v>86754.877106258602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63274.83</c:v>
                </c:pt>
                <c:pt idx="1">
                  <c:v>95361.877106258602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17350.975421251722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54390.067793252667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226.625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187.822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21 %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226625.28247188611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226625.28247188611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226625.28247188611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91900.29</v>
      </c>
      <c r="E78" s="177">
        <f>LOOKUP('Basis-Annahmen'!E5,'Nachfrage &amp; Erzeugung'!D36:G36,'Nachfrage &amp; Erzeugung'!D38:G38)</f>
        <v>87504.349524854217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100158</v>
      </c>
      <c r="E79" s="177">
        <f>LOOKUP('Basis-Annahmen'!E5,'Nachfrage &amp; Erzeugung'!D36:G36,'Nachfrage &amp; Erzeugung'!D39:G39)</f>
        <v>134235.33270666195</v>
      </c>
      <c r="F79" s="175"/>
      <c r="G79" s="176" t="s">
        <v>55</v>
      </c>
      <c r="H79" s="177">
        <f>'Nachfrage &amp; Erzeugung'!C46</f>
        <v>49475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4236.7</v>
      </c>
      <c r="E80" s="177">
        <f>LOOKUP('Basis-Annahmen'!E5,'Nachfrage &amp; Erzeugung'!D36:G36,'Nachfrage &amp; Erzeugung'!D40:G40)</f>
        <v>4885.600240369934</v>
      </c>
      <c r="F80" s="175"/>
      <c r="G80" s="176" t="str">
        <f>'Nachfrage &amp; Erzeugung'!B47</f>
        <v>Nicht erneuerbare Wärmeerzeugung</v>
      </c>
      <c r="H80" s="177">
        <f>MAX(0,H82-H79)</f>
        <v>138347</v>
      </c>
      <c r="I80" s="177">
        <f>MAX(0,I82-I79)</f>
        <v>226625.28247188611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187822</v>
      </c>
      <c r="E82" s="177">
        <f>LOOKUP('Basis-Annahmen'!E5,'Nachfrage &amp; Erzeugung'!D36:G36,'Nachfrage &amp; Erzeugung'!D37:G37)</f>
        <v>226625.28247188611</v>
      </c>
      <c r="F82" s="175"/>
      <c r="G82" s="176" t="s">
        <v>82</v>
      </c>
      <c r="H82" s="177">
        <f>'Nachfrage &amp; Erzeugung'!C37</f>
        <v>187822</v>
      </c>
      <c r="I82" s="177">
        <f>LOOKUP('Basis-Annahmen'!E5,'Nachfrage &amp; Erzeugung'!D36:G36,'Nachfrage &amp; Erzeugung'!D37:G37)</f>
        <v>226625.28247188611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0.20659604557445937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95.362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51 %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33 %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18000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51884.7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207636.984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8607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8607</v>
      </c>
      <c r="G32" s="256"/>
      <c r="H32" s="248">
        <f>SUM(H27:H31)</f>
        <v>277521.68400000001</v>
      </c>
      <c r="I32" s="248"/>
      <c r="J32" s="245">
        <f>IF(H32&gt;0,F32/H32,0)</f>
        <v>3.1013792781684042E-2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17358.23</v>
      </c>
      <c r="E76" s="186">
        <f>LOOKUP('Basis-Annahmen'!E5,'Nachfrage &amp; Erzeugung'!D9:G9,'Nachfrage &amp; Erzeugung'!D11:G11)</f>
        <v>14902.04186046764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43290.210000000006</v>
      </c>
      <c r="E77" s="186">
        <f>LOOKUP('Basis-Annahmen'!E5,'Nachfrage &amp; Erzeugung'!D9:G9,'Nachfrage &amp; Erzeugung'!D12:G12)</f>
        <v>48558.932319564767</v>
      </c>
      <c r="F77" s="175"/>
      <c r="G77" s="176" t="s">
        <v>103</v>
      </c>
      <c r="H77" s="186">
        <f>'Nachfrage &amp; Erzeugung'!C21</f>
        <v>8607</v>
      </c>
      <c r="I77" s="186">
        <f>F31</f>
        <v>8607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1018.86</v>
      </c>
      <c r="E78" s="186">
        <f>LOOKUP('Basis-Annahmen'!E5,'Nachfrage &amp; Erzeugung'!D9:G9,'Nachfrage &amp; Erzeugung'!D13:G13)</f>
        <v>697.45572125725641</v>
      </c>
      <c r="F78" s="175"/>
      <c r="G78" s="176" t="str">
        <f>'Nachfrage &amp; Erzeugung'!B29</f>
        <v>Nicht aus lokalen EE gedeckter Strombedarf</v>
      </c>
      <c r="H78" s="186">
        <f>'Nachfrage &amp; Erzeugung'!C29</f>
        <v>54667.83</v>
      </c>
      <c r="I78" s="186">
        <f>MAX(0,E82-SUM(I79:I82)-I77)</f>
        <v>86754.877106258602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31203.447204968943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63274.83</v>
      </c>
      <c r="E82" s="186">
        <f>LOOKUP('Basis-Annahmen'!E5,'Nachfrage &amp; Erzeugung'!D9:G9,'Nachfrage &amp; Erzeugung'!D10:G10)</f>
        <v>95361.877106258602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0.50710601840034342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0.32721091647766087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18700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86754.877106258602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17350.975421251722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0.92785964819527922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226625.28247188611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54390.067793252667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2.9085597750402497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0.72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71741.043214504389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3.8364194232355286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17350.975421251722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54390.067793252667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7.3701842546063647E-3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3.6404243439419316E-2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16100</v>
      </c>
      <c r="F34" s="69">
        <v>17000</v>
      </c>
      <c r="G34" s="69">
        <v>17700</v>
      </c>
      <c r="H34" s="69">
        <v>18200</v>
      </c>
      <c r="I34" s="70">
        <v>18700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5.5900621118012424E-2</v>
      </c>
      <c r="G36" s="67">
        <f>(G34-F34)/F34</f>
        <v>4.1176470588235294E-2</v>
      </c>
      <c r="H36" s="67">
        <f>(H34-G34)/G34</f>
        <v>2.8248587570621469E-2</v>
      </c>
      <c r="I36" s="68">
        <f>(I34-H34)/H34</f>
        <v>2.7472527472527472E-2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37.127875634676862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0.55621118012422355</v>
      </c>
      <c r="F44" s="73">
        <f>E44*(1+(F13*(F43-E43)))</f>
        <v>0.55621118012422355</v>
      </c>
      <c r="G44" s="73">
        <f t="shared" ref="G44:I44" si="0">F44*(1+(G13*(G43-F43)))</f>
        <v>0.55621118012422355</v>
      </c>
      <c r="H44" s="73">
        <f t="shared" si="0"/>
        <v>0.55621118012422355</v>
      </c>
      <c r="I44" s="190">
        <f t="shared" si="0"/>
        <v>0.55621118012422355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8955</v>
      </c>
      <c r="F45" s="36">
        <f>F44*F34</f>
        <v>9455.5900621117999</v>
      </c>
      <c r="G45" s="36">
        <f t="shared" ref="G45:I45" si="1">G44*G34</f>
        <v>9844.9378881987559</v>
      </c>
      <c r="H45" s="36">
        <f t="shared" si="1"/>
        <v>10123.043478260868</v>
      </c>
      <c r="I45" s="74">
        <f t="shared" si="1"/>
        <v>10401.14906832298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66</v>
      </c>
      <c r="F46" s="36">
        <f>F$45*F$14</f>
        <v>472.77950310559004</v>
      </c>
      <c r="G46" s="36">
        <f>G$45*G$14</f>
        <v>2953.4813664596268</v>
      </c>
      <c r="H46" s="36">
        <f>H$45*H$14</f>
        <v>6073.8260869565211</v>
      </c>
      <c r="I46" s="74">
        <f>I$45*I$14</f>
        <v>10401.14906832298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326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63274.83</v>
      </c>
      <c r="D10" s="94">
        <f>D11+D12+D13+D14+D15</f>
        <v>61347.664194672521</v>
      </c>
      <c r="E10" s="94">
        <f>E11+E12+E13+E14+D15</f>
        <v>70201.481560433371</v>
      </c>
      <c r="F10" s="94">
        <f>F11+F12+F13+F14+D15</f>
        <v>80903.783470823168</v>
      </c>
      <c r="G10" s="95">
        <f>G11+G12+G13+G14+D15</f>
        <v>95361.877106258602</v>
      </c>
      <c r="H10" s="14"/>
    </row>
    <row r="11" spans="1:8" ht="19.5" customHeight="1" x14ac:dyDescent="0.2">
      <c r="B11" s="88" t="s">
        <v>6</v>
      </c>
      <c r="C11" s="96">
        <v>17358.23</v>
      </c>
      <c r="D11" s="97">
        <f>C11/'Basis-Annahmen'!E34*((1-'Basis-Annahmen'!F19)^(D9-C9))*'Basis-Annahmen'!F34</f>
        <v>16994.548710160689</v>
      </c>
      <c r="E11" s="97">
        <f>D11/'Basis-Annahmen'!F34*((1-'Basis-Annahmen'!G19)^5)*'Basis-Annahmen'!G34</f>
        <v>16406.46943843639</v>
      </c>
      <c r="F11" s="97">
        <f>E11/'Basis-Annahmen'!G34*((1-'Basis-Annahmen'!H19)^5)*'Basis-Annahmen'!H34</f>
        <v>15642.076587657304</v>
      </c>
      <c r="G11" s="98">
        <f>F11/'Basis-Annahmen'!H34*((1-'Basis-Annahmen'!I19)^5)*'Basis-Annahmen'!I34</f>
        <v>14902.04186046764</v>
      </c>
      <c r="H11" s="14"/>
    </row>
    <row r="12" spans="1:8" ht="19.5" customHeight="1" x14ac:dyDescent="0.2">
      <c r="B12" s="88" t="s">
        <v>104</v>
      </c>
      <c r="C12" s="96">
        <v>43290.210000000006</v>
      </c>
      <c r="D12" s="97">
        <f>((1-'Basis-Annahmen'!F20)^(D9-C9))*((1+'Basis-Annahmen'!F9)^(D9-C9))*C12</f>
        <v>42059.847225770369</v>
      </c>
      <c r="E12" s="97">
        <f>((1-'Basis-Annahmen'!G20)^5)*((1+'Basis-Annahmen'!G9)^5)*D12</f>
        <v>44123.31872054089</v>
      </c>
      <c r="F12" s="97">
        <f>((1-'Basis-Annahmen'!H20)^5)*((1+'Basis-Annahmen'!H9)^5)*E12</f>
        <v>46288.024881877711</v>
      </c>
      <c r="G12" s="98">
        <f>((1-'Basis-Annahmen'!I20)^5)*((1+'Basis-Annahmen'!I9)^5)*F12</f>
        <v>48558.932319564767</v>
      </c>
      <c r="H12" s="14"/>
    </row>
    <row r="13" spans="1:8" ht="19.5" customHeight="1" x14ac:dyDescent="0.2">
      <c r="B13" s="88" t="s">
        <v>7</v>
      </c>
      <c r="C13" s="96">
        <v>1018.86</v>
      </c>
      <c r="D13" s="97">
        <f>C13*((1-'Basis-Annahmen'!F20)^(D9-C9))</f>
        <v>874.92974942470187</v>
      </c>
      <c r="E13" s="97">
        <f>D13*((1-'Basis-Annahmen'!G20)^5)</f>
        <v>811.24930207720479</v>
      </c>
      <c r="F13" s="97">
        <f>E13*((1-'Basis-Annahmen'!H20)^5)</f>
        <v>752.2037404185802</v>
      </c>
      <c r="G13" s="98">
        <f>F13*((1-'Basis-Annahmen'!I20)^5)</f>
        <v>697.45572125725641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1418.3385093167701</v>
      </c>
      <c r="E14" s="97">
        <f>'Basis-Annahmen'!G46*'Basis-Annahmen'!G51+'Basis-Annahmen'!G47*'Basis-Annahmen'!G52</f>
        <v>8860.4440993788812</v>
      </c>
      <c r="F14" s="97">
        <f>'Basis-Annahmen'!H46*'Basis-Annahmen'!H51+'Basis-Annahmen'!H47*'Basis-Annahmen'!H52</f>
        <v>18221.478260869564</v>
      </c>
      <c r="G14" s="98">
        <f>'Basis-Annahmen'!I46*'Basis-Annahmen'!I51+'Basis-Annahmen'!I47*'Basis-Annahmen'!I52</f>
        <v>31203.447204968943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-3.0457068084220541E-2</v>
      </c>
      <c r="E16" s="101">
        <f>(E10-$C$10)/$C$10</f>
        <v>0.1094693033617533</v>
      </c>
      <c r="F16" s="101">
        <f t="shared" ref="F16" si="0">(F10-$C$10)/$C$10</f>
        <v>0.27860925854440327</v>
      </c>
      <c r="G16" s="102">
        <f>(G10-$C$10)/$C$10</f>
        <v>0.50710601840034342</v>
      </c>
      <c r="H16" s="14"/>
    </row>
    <row r="17" spans="1:10" ht="19.5" customHeight="1" x14ac:dyDescent="0.2">
      <c r="B17" s="89" t="s">
        <v>97</v>
      </c>
      <c r="C17" s="107"/>
      <c r="D17" s="104">
        <f>D14/D10</f>
        <v>2.3119682353610126E-2</v>
      </c>
      <c r="E17" s="104">
        <f>E14/E10</f>
        <v>0.12621448867501911</v>
      </c>
      <c r="F17" s="104">
        <f>F14/F10</f>
        <v>0.22522405602255782</v>
      </c>
      <c r="G17" s="105">
        <f>G14/G10</f>
        <v>0.32721091647766087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8607</v>
      </c>
      <c r="G21" s="111"/>
    </row>
    <row r="22" spans="1:10" s="14" customFormat="1" ht="19.5" customHeight="1" x14ac:dyDescent="0.2">
      <c r="B22" s="110" t="s">
        <v>14</v>
      </c>
      <c r="C22" s="122">
        <v>0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5619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2988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54667.83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187822</v>
      </c>
      <c r="D37" s="94">
        <f>SUM(D38:D40)</f>
        <v>204040.76306327281</v>
      </c>
      <c r="E37" s="94">
        <f>SUM(E38:E40)</f>
        <v>211348.57906853789</v>
      </c>
      <c r="F37" s="94">
        <f t="shared" ref="F37:G37" si="1">SUM(F38:F40)</f>
        <v>218652.5172219653</v>
      </c>
      <c r="G37" s="95">
        <f t="shared" si="1"/>
        <v>226625.28247188611</v>
      </c>
      <c r="H37" s="14"/>
    </row>
    <row r="38" spans="1:8" ht="19.5" customHeight="1" x14ac:dyDescent="0.2">
      <c r="A38" s="14"/>
      <c r="B38" s="113" t="s">
        <v>6</v>
      </c>
      <c r="C38" s="96">
        <v>91900.29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91813.039492258496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90760.464218015404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89132.40687143481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87504.349524854217</v>
      </c>
      <c r="H38" s="14"/>
    </row>
    <row r="39" spans="1:8" ht="19.5" customHeight="1" x14ac:dyDescent="0.2">
      <c r="A39" s="14"/>
      <c r="B39" s="113" t="s">
        <v>104</v>
      </c>
      <c r="C39" s="96">
        <v>100158</v>
      </c>
      <c r="D39" s="97">
        <f>C39*((1-'Basis-Annahmen'!F$24)^(D36-C36))*((1+'Basis-Annahmen'!F$9)^(D36-C36))</f>
        <v>107765.79663996027</v>
      </c>
      <c r="E39" s="97">
        <f>((1-'Basis-Annahmen'!G$24)^5)*((1+'Basis-Annahmen'!G$9)^5)*'Nachfrage &amp; Erzeugung'!D39</f>
        <v>115951.46593827025</v>
      </c>
      <c r="F39" s="97">
        <f>((1-'Basis-Annahmen'!H$24)^5)*((1+'Basis-Annahmen'!H$9)^5)*'Nachfrage &amp; Erzeugung'!E39</f>
        <v>124758.90191905701</v>
      </c>
      <c r="G39" s="98">
        <f>((1-'Basis-Annahmen'!I$24)^5)*((1+'Basis-Annahmen'!I$9)^5)*'Nachfrage &amp; Erzeugung'!F39</f>
        <v>134235.33270666195</v>
      </c>
      <c r="H39" s="14"/>
    </row>
    <row r="40" spans="1:8" ht="19.5" customHeight="1" x14ac:dyDescent="0.2">
      <c r="A40" s="14"/>
      <c r="B40" s="113" t="s">
        <v>7</v>
      </c>
      <c r="C40" s="96">
        <v>4236.7</v>
      </c>
      <c r="D40" s="97">
        <f>C40+(C40*'Basis-Annahmen'!F36)*((1-'Basis-Annahmen'!F24)^(D36-C36))</f>
        <v>4461.9269310540494</v>
      </c>
      <c r="E40" s="97">
        <f>D40+(D40*'Basis-Annahmen'!G36)*((1-'Basis-Annahmen'!G24)^5)</f>
        <v>4636.6489122522416</v>
      </c>
      <c r="F40" s="97">
        <f>E40+(E40*'Basis-Annahmen'!H36)*((1-'Basis-Annahmen'!H24)^5)</f>
        <v>4761.2084314734711</v>
      </c>
      <c r="G40" s="98">
        <f>F40+(F40*'Basis-Annahmen'!I36)*((1-'Basis-Annahmen'!I24)^5)</f>
        <v>4885.600240369934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8.6351774889378299E-2</v>
      </c>
      <c r="E42" s="104">
        <f>(E37-$C$37)/$C$37</f>
        <v>0.12525997523473228</v>
      </c>
      <c r="F42" s="104">
        <f>(F37-$C$37)/$C$37</f>
        <v>0.16414752916040348</v>
      </c>
      <c r="G42" s="105">
        <f>(G37-$C$37)/$C$37</f>
        <v>0.20659604557445937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49475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138347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4.8333285716796244E-2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0.11047743375851021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0.84118928052469355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/>
      <c r="C55" s="167">
        <v>0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/>
      <c r="C56" s="167">
        <v>0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/>
      <c r="C57" s="167">
        <v>0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/>
      <c r="C58" s="167">
        <v>0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18000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2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51884.7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345898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207636.984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288.38470000000001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